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соглашения" sheetId="1" r:id="rId1"/>
    <sheet name="пфхд расх 16 дс" sheetId="2" r:id="rId2"/>
  </sheets>
  <calcPr calcId="125725"/>
</workbook>
</file>

<file path=xl/calcChain.xml><?xml version="1.0" encoding="utf-8"?>
<calcChain xmlns="http://schemas.openxmlformats.org/spreadsheetml/2006/main">
  <c r="F5" i="2"/>
  <c r="F6"/>
  <c r="F7"/>
  <c r="F8"/>
  <c r="F9"/>
  <c r="F10"/>
  <c r="F11"/>
  <c r="B8" l="1"/>
  <c r="D8" s="1"/>
  <c r="D10"/>
  <c r="D5"/>
  <c r="D6"/>
  <c r="D7"/>
  <c r="D9"/>
  <c r="D11"/>
  <c r="B14"/>
  <c r="B15" s="1"/>
  <c r="B18"/>
  <c r="F18" s="1"/>
  <c r="B4"/>
  <c r="C19"/>
  <c r="E19"/>
  <c r="E15"/>
  <c r="C15"/>
  <c r="E12"/>
  <c r="C12"/>
  <c r="C20" l="1"/>
  <c r="E20"/>
  <c r="B19"/>
  <c r="D15"/>
  <c r="D18"/>
  <c r="F14"/>
  <c r="F15" s="1"/>
  <c r="D14"/>
  <c r="B12"/>
  <c r="B20" s="1"/>
  <c r="F4"/>
  <c r="D4"/>
  <c r="F17"/>
  <c r="F19" s="1"/>
  <c r="D17"/>
  <c r="F12" l="1"/>
  <c r="F20" s="1"/>
  <c r="D19"/>
  <c r="D12"/>
  <c r="N23" i="1"/>
  <c r="O23"/>
  <c r="I21"/>
  <c r="M4"/>
  <c r="D20" i="2" l="1"/>
  <c r="I13" i="1"/>
  <c r="N13" s="1"/>
  <c r="D13"/>
  <c r="E13" s="1"/>
  <c r="I10"/>
  <c r="J10" s="1"/>
  <c r="D10"/>
  <c r="I9"/>
  <c r="J9" s="1"/>
  <c r="D9"/>
  <c r="E9" s="1"/>
  <c r="I11"/>
  <c r="J11" s="1"/>
  <c r="D11"/>
  <c r="I12"/>
  <c r="L12" s="1"/>
  <c r="D12"/>
  <c r="I8"/>
  <c r="L8" s="1"/>
  <c r="D8"/>
  <c r="I7"/>
  <c r="J7" s="1"/>
  <c r="D7"/>
  <c r="I6"/>
  <c r="J6" s="1"/>
  <c r="D6"/>
  <c r="I5"/>
  <c r="N5" s="1"/>
  <c r="I4"/>
  <c r="N4" s="1"/>
  <c r="D5"/>
  <c r="D4"/>
  <c r="M23"/>
  <c r="K22"/>
  <c r="K24" s="1"/>
  <c r="H22"/>
  <c r="H24" s="1"/>
  <c r="F22"/>
  <c r="F24" s="1"/>
  <c r="C22"/>
  <c r="C24" s="1"/>
  <c r="M21"/>
  <c r="L21"/>
  <c r="J21"/>
  <c r="G21"/>
  <c r="E21"/>
  <c r="N20"/>
  <c r="M20"/>
  <c r="L20"/>
  <c r="J20"/>
  <c r="G20"/>
  <c r="E20"/>
  <c r="N19"/>
  <c r="M19"/>
  <c r="L19"/>
  <c r="J19"/>
  <c r="G19"/>
  <c r="E19"/>
  <c r="N18"/>
  <c r="M18"/>
  <c r="L18"/>
  <c r="J18"/>
  <c r="G18"/>
  <c r="E18"/>
  <c r="N17"/>
  <c r="O17" s="1"/>
  <c r="M17"/>
  <c r="L17"/>
  <c r="J17"/>
  <c r="G17"/>
  <c r="E17"/>
  <c r="N16"/>
  <c r="M16"/>
  <c r="L16"/>
  <c r="J16"/>
  <c r="G16"/>
  <c r="E16"/>
  <c r="N15"/>
  <c r="M15"/>
  <c r="L15"/>
  <c r="J15"/>
  <c r="G15"/>
  <c r="E15"/>
  <c r="N14"/>
  <c r="O14" s="1"/>
  <c r="M14"/>
  <c r="L14"/>
  <c r="J14"/>
  <c r="G14"/>
  <c r="E14"/>
  <c r="M13"/>
  <c r="G13"/>
  <c r="M12"/>
  <c r="M11"/>
  <c r="E11"/>
  <c r="G11"/>
  <c r="M10"/>
  <c r="G10"/>
  <c r="E10"/>
  <c r="M9"/>
  <c r="M8"/>
  <c r="J8"/>
  <c r="M7"/>
  <c r="E7"/>
  <c r="G7"/>
  <c r="M6"/>
  <c r="E6"/>
  <c r="M5"/>
  <c r="G5"/>
  <c r="E5"/>
  <c r="O18" l="1"/>
  <c r="N12"/>
  <c r="O12" s="1"/>
  <c r="O15"/>
  <c r="O4"/>
  <c r="M22"/>
  <c r="M24" s="1"/>
  <c r="O16"/>
  <c r="O19"/>
  <c r="L10"/>
  <c r="G9"/>
  <c r="L11"/>
  <c r="J12"/>
  <c r="N8"/>
  <c r="O8" s="1"/>
  <c r="L7"/>
  <c r="L6"/>
  <c r="J5"/>
  <c r="J4"/>
  <c r="O5"/>
  <c r="I22"/>
  <c r="O20"/>
  <c r="O13"/>
  <c r="N9"/>
  <c r="O9" s="1"/>
  <c r="G4"/>
  <c r="L5"/>
  <c r="N7"/>
  <c r="O7" s="1"/>
  <c r="G8"/>
  <c r="L9"/>
  <c r="N11"/>
  <c r="O11" s="1"/>
  <c r="G12"/>
  <c r="L13"/>
  <c r="E4"/>
  <c r="L4"/>
  <c r="N6"/>
  <c r="O6" s="1"/>
  <c r="E8"/>
  <c r="N10"/>
  <c r="O10" s="1"/>
  <c r="E12"/>
  <c r="J13"/>
  <c r="N21"/>
  <c r="O21" s="1"/>
  <c r="G6"/>
  <c r="D22"/>
  <c r="D24" s="1"/>
  <c r="L22" l="1"/>
  <c r="I24"/>
  <c r="J22"/>
  <c r="O22"/>
  <c r="O24" s="1"/>
  <c r="G22"/>
  <c r="N22"/>
  <c r="E22"/>
</calcChain>
</file>

<file path=xl/sharedStrings.xml><?xml version="1.0" encoding="utf-8"?>
<sst xmlns="http://schemas.openxmlformats.org/spreadsheetml/2006/main" count="67" uniqueCount="61">
  <si>
    <t>№ п/п</t>
  </si>
  <si>
    <t>Наименование учреждения</t>
  </si>
  <si>
    <t>Лимиты ГРБС Администрация АМО по субсидиям на муниципальное задание</t>
  </si>
  <si>
    <t>Субсидия на  выполнение муниципального задания по Соглашению</t>
  </si>
  <si>
    <t>Отклонение соглашения и лимитов</t>
  </si>
  <si>
    <t>Поступление субсидии согласно ф. 0503737</t>
  </si>
  <si>
    <t>Остаток непрофинансированной суммы субсидии на муниципальное задание</t>
  </si>
  <si>
    <t>Лимиты ГРБС Администрация АМО по субсидиям на иные цели</t>
  </si>
  <si>
    <t>Субсидия на иные цели по Соглашению</t>
  </si>
  <si>
    <t>Остаток непрофинансированной суммы субсидии на иные цели</t>
  </si>
  <si>
    <t>Лимиты ГРБС Администрация АМО ВСЕГО</t>
  </si>
  <si>
    <t>Соглашения 
ВСЕГО</t>
  </si>
  <si>
    <t>5=3-4</t>
  </si>
  <si>
    <t>7=4-6</t>
  </si>
  <si>
    <t>8=6-7</t>
  </si>
  <si>
    <t>10=7-9</t>
  </si>
  <si>
    <t>13=11-12</t>
  </si>
  <si>
    <t>МБДОУ "Детский сад № 15"</t>
  </si>
  <si>
    <t>МБДОУ "Детский сад № 16"</t>
  </si>
  <si>
    <t>МБДОУ "Детский сад № 19"</t>
  </si>
  <si>
    <t>МБДОУ "Детский сад № 23"</t>
  </si>
  <si>
    <t>МБДОУ "Детский сад № 30"</t>
  </si>
  <si>
    <t>МБОУ "БСОШ № 1"</t>
  </si>
  <si>
    <t>МБОУ "Гимназия"</t>
  </si>
  <si>
    <t>МБОУ "ООШ № 8 им. А.П.Чехова"</t>
  </si>
  <si>
    <t>МБОУ "СОШ п.Яйва"</t>
  </si>
  <si>
    <t>МБОУ "СОШ № 6"</t>
  </si>
  <si>
    <t>МБУ "АСШ"</t>
  </si>
  <si>
    <t>МБУ "ГДК"</t>
  </si>
  <si>
    <t>МБУ "Химик"</t>
  </si>
  <si>
    <t>МБУ "ЦГБ"</t>
  </si>
  <si>
    <t>МБУ "ЮПИТЕР"</t>
  </si>
  <si>
    <t>МБУ ДО "ДШИ"</t>
  </si>
  <si>
    <t>МБУ ДО "ДЮЦ "Горизонт"</t>
  </si>
  <si>
    <t>ИТОГО</t>
  </si>
  <si>
    <t>Сводная бухгалтерская отчетность</t>
  </si>
  <si>
    <t>Отклонение</t>
  </si>
  <si>
    <t>Итого</t>
  </si>
  <si>
    <t>МБУ "АКМ"</t>
  </si>
  <si>
    <t>Наименование показателя</t>
  </si>
  <si>
    <t>Отклонение ПФХД от плановых назначения</t>
  </si>
  <si>
    <t>Кассовые расходы  форма                            0503737</t>
  </si>
  <si>
    <t>Отклонение показателей ПФХД от кассового расхода</t>
  </si>
  <si>
    <t>Итото</t>
  </si>
  <si>
    <t>Всего</t>
  </si>
  <si>
    <t>Показатели ПФХД по выплатам</t>
  </si>
  <si>
    <t>Субсидия на выполнение муниципального задания</t>
  </si>
  <si>
    <t xml:space="preserve">Заработная плата </t>
  </si>
  <si>
    <t xml:space="preserve">Начисление на заработную плату </t>
  </si>
  <si>
    <t>Закупка энергетических ресурсов</t>
  </si>
  <si>
    <t>Уплата иных платежей</t>
  </si>
  <si>
    <t>Приносящая доход деятельность</t>
  </si>
  <si>
    <t>Прочие выплаты</t>
  </si>
  <si>
    <t>Прочая закупка товаров, работ и услуг</t>
  </si>
  <si>
    <t>Субсидия на иные цели</t>
  </si>
  <si>
    <t xml:space="preserve">Прочая закупка товаров, работ и услуг </t>
  </si>
  <si>
    <t>Социальные и инеы выплаты населению</t>
  </si>
  <si>
    <t>Уплата земельного налога и налога на имущество и иных платежей</t>
  </si>
  <si>
    <t>Утверждено плановых назначений на 2022 год                                   форма 0503737</t>
  </si>
  <si>
    <t xml:space="preserve">Приложение № 2 к Акту контрольного мероприятия № от 
Анализ плановых показателей по выплатам ПФХД по МБДОУ «Детский сад № 16»    </t>
  </si>
  <si>
    <t>Приложение № 8 к Заключению КСП АМО от 28.04.2023г. № 3 
Анализ соглашений между учредителем и подведомственными муниципальными бюджетными учреждениями АМО на предоставление субсидий за 2022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</si>
</sst>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workbookViewId="0">
      <selection activeCell="N5" sqref="N5"/>
    </sheetView>
  </sheetViews>
  <sheetFormatPr defaultRowHeight="15"/>
  <cols>
    <col min="1" max="1" width="5.5703125" customWidth="1"/>
    <col min="2" max="2" width="29.28515625" style="9" customWidth="1"/>
    <col min="3" max="3" width="14.85546875" style="9" customWidth="1"/>
    <col min="4" max="4" width="15.5703125" style="9" customWidth="1"/>
    <col min="5" max="5" width="13.7109375" style="9" customWidth="1"/>
    <col min="6" max="6" width="15.28515625" style="9" customWidth="1"/>
    <col min="7" max="7" width="13.7109375" style="9" customWidth="1"/>
    <col min="8" max="8" width="14" style="9" customWidth="1"/>
    <col min="9" max="9" width="14.140625" style="9" customWidth="1"/>
    <col min="10" max="10" width="11.85546875" style="9" customWidth="1"/>
    <col min="11" max="11" width="14.85546875" style="9" customWidth="1"/>
    <col min="12" max="12" width="11.85546875" style="9" customWidth="1"/>
    <col min="13" max="14" width="15.42578125" style="9" customWidth="1"/>
    <col min="15" max="15" width="12.42578125" style="9" customWidth="1"/>
  </cols>
  <sheetData>
    <row r="1" spans="1:15" ht="33" customHeight="1">
      <c r="A1" s="23" t="s">
        <v>60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2" customFormat="1" ht="67.5">
      <c r="A2" s="1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4</v>
      </c>
      <c r="K2" s="4" t="s">
        <v>5</v>
      </c>
      <c r="L2" s="4" t="s">
        <v>9</v>
      </c>
      <c r="M2" s="4" t="s">
        <v>10</v>
      </c>
      <c r="N2" s="4" t="s">
        <v>11</v>
      </c>
      <c r="O2" s="4" t="s">
        <v>4</v>
      </c>
    </row>
    <row r="3" spans="1:15" s="2" customFormat="1" ht="11.25">
      <c r="A3" s="1">
        <v>1</v>
      </c>
      <c r="B3" s="5">
        <v>2</v>
      </c>
      <c r="C3" s="4">
        <v>3</v>
      </c>
      <c r="D3" s="4">
        <v>4</v>
      </c>
      <c r="E3" s="4" t="s">
        <v>12</v>
      </c>
      <c r="F3" s="4">
        <v>6</v>
      </c>
      <c r="G3" s="4" t="s">
        <v>13</v>
      </c>
      <c r="H3" s="4">
        <v>6</v>
      </c>
      <c r="I3" s="4">
        <v>7</v>
      </c>
      <c r="J3" s="4" t="s">
        <v>14</v>
      </c>
      <c r="K3" s="4">
        <v>9</v>
      </c>
      <c r="L3" s="4" t="s">
        <v>15</v>
      </c>
      <c r="M3" s="4">
        <v>11</v>
      </c>
      <c r="N3" s="4">
        <v>12</v>
      </c>
      <c r="O3" s="4" t="s">
        <v>16</v>
      </c>
    </row>
    <row r="4" spans="1:15">
      <c r="A4" s="20">
        <v>1</v>
      </c>
      <c r="B4" s="21" t="s">
        <v>17</v>
      </c>
      <c r="C4" s="6">
        <v>28943555.440000001</v>
      </c>
      <c r="D4" s="3">
        <f>6215592.44+22727963</f>
        <v>28943555.440000001</v>
      </c>
      <c r="E4" s="3">
        <f>C4-D4</f>
        <v>0</v>
      </c>
      <c r="F4" s="3">
        <v>28943555.440000001</v>
      </c>
      <c r="G4" s="3">
        <f>D4-F4</f>
        <v>0</v>
      </c>
      <c r="H4" s="6">
        <v>3027482.29</v>
      </c>
      <c r="I4" s="3">
        <f>825578.33+2201903.96</f>
        <v>3027482.29</v>
      </c>
      <c r="J4" s="6">
        <f>H4-I4</f>
        <v>0</v>
      </c>
      <c r="K4" s="3">
        <v>3027482.29</v>
      </c>
      <c r="L4" s="6">
        <f>I4-K4</f>
        <v>0</v>
      </c>
      <c r="M4" s="6">
        <f>C4+H4</f>
        <v>31971037.73</v>
      </c>
      <c r="N4" s="3">
        <f>D4+I4</f>
        <v>31971037.73</v>
      </c>
      <c r="O4" s="3">
        <f>M4-N4</f>
        <v>0</v>
      </c>
    </row>
    <row r="5" spans="1:15">
      <c r="A5" s="20">
        <v>2</v>
      </c>
      <c r="B5" s="21" t="s">
        <v>18</v>
      </c>
      <c r="C5" s="6">
        <v>30495167.780000001</v>
      </c>
      <c r="D5" s="3">
        <f>6793023.78+23702144</f>
        <v>30495167.780000001</v>
      </c>
      <c r="E5" s="3">
        <f t="shared" ref="E5:E22" si="0">C5-D5</f>
        <v>0</v>
      </c>
      <c r="F5" s="3">
        <v>30495167.780000001</v>
      </c>
      <c r="G5" s="3">
        <f t="shared" ref="G5:G22" si="1">D5-F5</f>
        <v>0</v>
      </c>
      <c r="H5" s="6">
        <v>1039010.72</v>
      </c>
      <c r="I5" s="3">
        <f>35010.72+1004000</f>
        <v>1039010.72</v>
      </c>
      <c r="J5" s="6">
        <f t="shared" ref="J5:J22" si="2">H5-I5</f>
        <v>0</v>
      </c>
      <c r="K5" s="3">
        <v>1039010.72</v>
      </c>
      <c r="L5" s="6">
        <f t="shared" ref="L5:L22" si="3">I5-K5</f>
        <v>0</v>
      </c>
      <c r="M5" s="6">
        <f t="shared" ref="M5:N21" si="4">C5+H5</f>
        <v>31534178.5</v>
      </c>
      <c r="N5" s="3">
        <f t="shared" si="4"/>
        <v>31534178.5</v>
      </c>
      <c r="O5" s="3">
        <f t="shared" ref="O5:O21" si="5">M5-N5</f>
        <v>0</v>
      </c>
    </row>
    <row r="6" spans="1:15">
      <c r="A6" s="20">
        <v>3</v>
      </c>
      <c r="B6" s="21" t="s">
        <v>19</v>
      </c>
      <c r="C6" s="6">
        <v>28972485.559999999</v>
      </c>
      <c r="D6" s="3">
        <f>6556224.56+22416261</f>
        <v>28972485.559999999</v>
      </c>
      <c r="E6" s="3">
        <f t="shared" si="0"/>
        <v>0</v>
      </c>
      <c r="F6" s="3">
        <v>28972485.559999999</v>
      </c>
      <c r="G6" s="3">
        <f t="shared" si="1"/>
        <v>0</v>
      </c>
      <c r="H6" s="6">
        <v>1467043.91</v>
      </c>
      <c r="I6" s="3">
        <f>238941.23+1228102.68</f>
        <v>1467043.91</v>
      </c>
      <c r="J6" s="6">
        <f t="shared" si="2"/>
        <v>0</v>
      </c>
      <c r="K6" s="3">
        <v>1466807.61</v>
      </c>
      <c r="L6" s="6">
        <f t="shared" si="3"/>
        <v>236.29999999981374</v>
      </c>
      <c r="M6" s="6">
        <f t="shared" si="4"/>
        <v>30439529.469999999</v>
      </c>
      <c r="N6" s="3">
        <f t="shared" si="4"/>
        <v>30439529.469999999</v>
      </c>
      <c r="O6" s="3">
        <f t="shared" si="5"/>
        <v>0</v>
      </c>
    </row>
    <row r="7" spans="1:15">
      <c r="A7" s="20">
        <v>4</v>
      </c>
      <c r="B7" s="21" t="s">
        <v>20</v>
      </c>
      <c r="C7" s="6">
        <v>21279281.57</v>
      </c>
      <c r="D7" s="3">
        <f>5008428.57+16270853</f>
        <v>21279281.57</v>
      </c>
      <c r="E7" s="3">
        <f t="shared" si="0"/>
        <v>0</v>
      </c>
      <c r="F7" s="3">
        <v>21279281.57</v>
      </c>
      <c r="G7" s="3">
        <f t="shared" si="1"/>
        <v>0</v>
      </c>
      <c r="H7" s="6">
        <v>1444770</v>
      </c>
      <c r="I7" s="3">
        <f>175370+1269400</f>
        <v>1444770</v>
      </c>
      <c r="J7" s="6">
        <f t="shared" si="2"/>
        <v>0</v>
      </c>
      <c r="K7" s="3">
        <v>1444770</v>
      </c>
      <c r="L7" s="6">
        <f t="shared" si="3"/>
        <v>0</v>
      </c>
      <c r="M7" s="6">
        <f t="shared" si="4"/>
        <v>22724051.57</v>
      </c>
      <c r="N7" s="3">
        <f t="shared" si="4"/>
        <v>22724051.57</v>
      </c>
      <c r="O7" s="3">
        <f t="shared" si="5"/>
        <v>0</v>
      </c>
    </row>
    <row r="8" spans="1:15">
      <c r="A8" s="20">
        <v>5</v>
      </c>
      <c r="B8" s="21" t="s">
        <v>21</v>
      </c>
      <c r="C8" s="6">
        <v>17249211.91</v>
      </c>
      <c r="D8" s="3">
        <f>4575219.91+12673992</f>
        <v>17249211.91</v>
      </c>
      <c r="E8" s="3">
        <f t="shared" si="0"/>
        <v>0</v>
      </c>
      <c r="F8" s="3">
        <v>17249211.91</v>
      </c>
      <c r="G8" s="3">
        <f t="shared" si="1"/>
        <v>0</v>
      </c>
      <c r="H8" s="6">
        <v>2743131.33</v>
      </c>
      <c r="I8" s="3">
        <f>502276.59+2240854.74</f>
        <v>2743131.33</v>
      </c>
      <c r="J8" s="6">
        <f t="shared" si="2"/>
        <v>0</v>
      </c>
      <c r="K8" s="3">
        <v>2743131.33</v>
      </c>
      <c r="L8" s="6">
        <f t="shared" si="3"/>
        <v>0</v>
      </c>
      <c r="M8" s="6">
        <f t="shared" si="4"/>
        <v>19992343.240000002</v>
      </c>
      <c r="N8" s="3">
        <f t="shared" si="4"/>
        <v>19992343.240000002</v>
      </c>
      <c r="O8" s="3">
        <f t="shared" si="5"/>
        <v>0</v>
      </c>
    </row>
    <row r="9" spans="1:15">
      <c r="A9" s="20">
        <v>6</v>
      </c>
      <c r="B9" s="21" t="s">
        <v>22</v>
      </c>
      <c r="C9" s="6">
        <v>32407321.609999999</v>
      </c>
      <c r="D9" s="3">
        <f>3918596.01+28488725.6</f>
        <v>32407321.609999999</v>
      </c>
      <c r="E9" s="3">
        <f t="shared" si="0"/>
        <v>0</v>
      </c>
      <c r="F9" s="3">
        <v>32407321.609999999</v>
      </c>
      <c r="G9" s="3">
        <f t="shared" si="1"/>
        <v>0</v>
      </c>
      <c r="H9" s="6">
        <v>14444756.27</v>
      </c>
      <c r="I9" s="3">
        <f>3777337.99+10667418.28</f>
        <v>14444756.27</v>
      </c>
      <c r="J9" s="6">
        <f t="shared" si="2"/>
        <v>0</v>
      </c>
      <c r="K9" s="3">
        <v>14442063.75</v>
      </c>
      <c r="L9" s="6">
        <f t="shared" si="3"/>
        <v>2692.519999999553</v>
      </c>
      <c r="M9" s="6">
        <f t="shared" si="4"/>
        <v>46852077.879999995</v>
      </c>
      <c r="N9" s="3">
        <f t="shared" si="4"/>
        <v>46852077.879999995</v>
      </c>
      <c r="O9" s="3">
        <f t="shared" si="5"/>
        <v>0</v>
      </c>
    </row>
    <row r="10" spans="1:15">
      <c r="A10" s="20">
        <v>7</v>
      </c>
      <c r="B10" s="21" t="s">
        <v>23</v>
      </c>
      <c r="C10" s="6">
        <v>18068530.32</v>
      </c>
      <c r="D10" s="3">
        <f>3539980.82+14528549.5</f>
        <v>18068530.32</v>
      </c>
      <c r="E10" s="3">
        <f t="shared" si="0"/>
        <v>0</v>
      </c>
      <c r="F10" s="3">
        <v>18068530.32</v>
      </c>
      <c r="G10" s="3">
        <f t="shared" si="1"/>
        <v>0</v>
      </c>
      <c r="H10" s="6">
        <v>7251306.0800000001</v>
      </c>
      <c r="I10" s="3">
        <f>1284193.15+5967112.93</f>
        <v>7251306.0800000001</v>
      </c>
      <c r="J10" s="6">
        <f t="shared" si="2"/>
        <v>0</v>
      </c>
      <c r="K10" s="3">
        <v>7216820.4299999997</v>
      </c>
      <c r="L10" s="6">
        <f t="shared" si="3"/>
        <v>34485.650000000373</v>
      </c>
      <c r="M10" s="6">
        <f t="shared" si="4"/>
        <v>25319836.399999999</v>
      </c>
      <c r="N10" s="3">
        <f t="shared" si="4"/>
        <v>25319836.399999999</v>
      </c>
      <c r="O10" s="3">
        <f t="shared" si="5"/>
        <v>0</v>
      </c>
    </row>
    <row r="11" spans="1:15">
      <c r="A11" s="20">
        <v>8</v>
      </c>
      <c r="B11" s="21" t="s">
        <v>24</v>
      </c>
      <c r="C11" s="6">
        <v>24857602.359999999</v>
      </c>
      <c r="D11" s="3">
        <f>4150181.08+20707421.28</f>
        <v>24857602.359999999</v>
      </c>
      <c r="E11" s="3">
        <f t="shared" si="0"/>
        <v>0</v>
      </c>
      <c r="F11" s="3">
        <v>24857602.359999999</v>
      </c>
      <c r="G11" s="3">
        <f t="shared" si="1"/>
        <v>0</v>
      </c>
      <c r="H11" s="6">
        <v>16326037.289999999</v>
      </c>
      <c r="I11" s="3">
        <f>3950473.53+12375563.76</f>
        <v>16326037.289999999</v>
      </c>
      <c r="J11" s="6">
        <f t="shared" si="2"/>
        <v>0</v>
      </c>
      <c r="K11" s="3">
        <v>12586337.98</v>
      </c>
      <c r="L11" s="6">
        <f t="shared" si="3"/>
        <v>3739699.3099999987</v>
      </c>
      <c r="M11" s="6">
        <f t="shared" si="4"/>
        <v>41183639.649999999</v>
      </c>
      <c r="N11" s="3">
        <f t="shared" si="4"/>
        <v>41183639.649999999</v>
      </c>
      <c r="O11" s="3">
        <f t="shared" si="5"/>
        <v>0</v>
      </c>
    </row>
    <row r="12" spans="1:15">
      <c r="A12" s="20">
        <v>9</v>
      </c>
      <c r="B12" s="21" t="s">
        <v>25</v>
      </c>
      <c r="C12" s="6">
        <v>51844026.329999998</v>
      </c>
      <c r="D12" s="3">
        <f>8427008.8+43417017.53</f>
        <v>51844026.329999998</v>
      </c>
      <c r="E12" s="3">
        <f t="shared" si="0"/>
        <v>0</v>
      </c>
      <c r="F12" s="3">
        <v>51844026.329999998</v>
      </c>
      <c r="G12" s="3">
        <f t="shared" si="1"/>
        <v>0</v>
      </c>
      <c r="H12" s="6">
        <v>14100548.48</v>
      </c>
      <c r="I12" s="3">
        <f>1260289.04+12840259.44</f>
        <v>14100548.48</v>
      </c>
      <c r="J12" s="6">
        <f t="shared" si="2"/>
        <v>0</v>
      </c>
      <c r="K12" s="3">
        <v>14079572.289999999</v>
      </c>
      <c r="L12" s="6">
        <f t="shared" si="3"/>
        <v>20976.190000001341</v>
      </c>
      <c r="M12" s="6">
        <f t="shared" si="4"/>
        <v>65944574.810000002</v>
      </c>
      <c r="N12" s="3">
        <f t="shared" si="4"/>
        <v>65944574.810000002</v>
      </c>
      <c r="O12" s="3">
        <f t="shared" si="5"/>
        <v>0</v>
      </c>
    </row>
    <row r="13" spans="1:15">
      <c r="A13" s="20">
        <v>10</v>
      </c>
      <c r="B13" s="21" t="s">
        <v>26</v>
      </c>
      <c r="C13" s="6">
        <v>26051979.420000002</v>
      </c>
      <c r="D13" s="3">
        <f>2758393.33+23293586.09</f>
        <v>26051979.420000002</v>
      </c>
      <c r="E13" s="3">
        <f t="shared" si="0"/>
        <v>0</v>
      </c>
      <c r="F13" s="3">
        <v>26051979.420000002</v>
      </c>
      <c r="G13" s="3">
        <f t="shared" si="1"/>
        <v>0</v>
      </c>
      <c r="H13" s="6">
        <v>8027794.8600000003</v>
      </c>
      <c r="I13" s="3">
        <f>730817.14+7296977.72</f>
        <v>8027794.8599999994</v>
      </c>
      <c r="J13" s="6">
        <f t="shared" si="2"/>
        <v>0</v>
      </c>
      <c r="K13" s="3">
        <v>8016341.7199999997</v>
      </c>
      <c r="L13" s="6">
        <f t="shared" si="3"/>
        <v>11453.139999999665</v>
      </c>
      <c r="M13" s="6">
        <f t="shared" si="4"/>
        <v>34079774.280000001</v>
      </c>
      <c r="N13" s="3">
        <f t="shared" si="4"/>
        <v>34079774.280000001</v>
      </c>
      <c r="O13" s="3">
        <f t="shared" si="5"/>
        <v>0</v>
      </c>
    </row>
    <row r="14" spans="1:15">
      <c r="A14" s="20">
        <v>11</v>
      </c>
      <c r="B14" s="21" t="s">
        <v>27</v>
      </c>
      <c r="C14" s="6">
        <v>18714658.760000002</v>
      </c>
      <c r="D14" s="3">
        <v>18714658.760000002</v>
      </c>
      <c r="E14" s="3">
        <f t="shared" si="0"/>
        <v>0</v>
      </c>
      <c r="F14" s="3">
        <v>18714658.760000002</v>
      </c>
      <c r="G14" s="3">
        <f t="shared" si="1"/>
        <v>0</v>
      </c>
      <c r="H14" s="6">
        <v>267270.55</v>
      </c>
      <c r="I14" s="3">
        <v>229348.25</v>
      </c>
      <c r="J14" s="6">
        <f t="shared" si="2"/>
        <v>37922.299999999988</v>
      </c>
      <c r="K14" s="3">
        <v>229348.25</v>
      </c>
      <c r="L14" s="6">
        <f t="shared" si="3"/>
        <v>0</v>
      </c>
      <c r="M14" s="6">
        <f t="shared" si="4"/>
        <v>18981929.310000002</v>
      </c>
      <c r="N14" s="3">
        <f t="shared" si="4"/>
        <v>18944007.010000002</v>
      </c>
      <c r="O14" s="3">
        <f t="shared" si="5"/>
        <v>37922.300000000745</v>
      </c>
    </row>
    <row r="15" spans="1:15">
      <c r="A15" s="20">
        <v>12</v>
      </c>
      <c r="B15" s="21" t="s">
        <v>28</v>
      </c>
      <c r="C15" s="6">
        <v>17632573.260000002</v>
      </c>
      <c r="D15" s="3">
        <v>17632573.260000002</v>
      </c>
      <c r="E15" s="3">
        <f t="shared" si="0"/>
        <v>0</v>
      </c>
      <c r="F15" s="3">
        <v>17632573.260000002</v>
      </c>
      <c r="G15" s="3">
        <f t="shared" si="1"/>
        <v>0</v>
      </c>
      <c r="H15" s="6">
        <v>12662164.779999999</v>
      </c>
      <c r="I15" s="3">
        <v>12658168.9</v>
      </c>
      <c r="J15" s="6">
        <f t="shared" si="2"/>
        <v>3995.8799999989569</v>
      </c>
      <c r="K15" s="3">
        <v>12658168.9</v>
      </c>
      <c r="L15" s="6">
        <f t="shared" si="3"/>
        <v>0</v>
      </c>
      <c r="M15" s="6">
        <f t="shared" si="4"/>
        <v>30294738.039999999</v>
      </c>
      <c r="N15" s="3">
        <f t="shared" si="4"/>
        <v>30290742.160000004</v>
      </c>
      <c r="O15" s="3">
        <f t="shared" si="5"/>
        <v>3995.8799999952316</v>
      </c>
    </row>
    <row r="16" spans="1:15">
      <c r="A16" s="20">
        <v>13</v>
      </c>
      <c r="B16" s="21" t="s">
        <v>38</v>
      </c>
      <c r="C16" s="6">
        <v>3526894.68</v>
      </c>
      <c r="D16" s="3">
        <v>3526894.68</v>
      </c>
      <c r="E16" s="3">
        <f t="shared" si="0"/>
        <v>0</v>
      </c>
      <c r="F16" s="3">
        <v>3526894.68</v>
      </c>
      <c r="G16" s="3">
        <f t="shared" si="1"/>
        <v>0</v>
      </c>
      <c r="H16" s="6">
        <v>0</v>
      </c>
      <c r="I16" s="3">
        <v>0</v>
      </c>
      <c r="J16" s="6">
        <f t="shared" si="2"/>
        <v>0</v>
      </c>
      <c r="K16" s="3">
        <v>0</v>
      </c>
      <c r="L16" s="6">
        <f t="shared" si="3"/>
        <v>0</v>
      </c>
      <c r="M16" s="6">
        <f t="shared" si="4"/>
        <v>3526894.68</v>
      </c>
      <c r="N16" s="3">
        <f t="shared" si="4"/>
        <v>3526894.68</v>
      </c>
      <c r="O16" s="3">
        <f t="shared" si="5"/>
        <v>0</v>
      </c>
    </row>
    <row r="17" spans="1:15">
      <c r="A17" s="20">
        <v>14</v>
      </c>
      <c r="B17" s="21" t="s">
        <v>29</v>
      </c>
      <c r="C17" s="6">
        <v>11497297.77</v>
      </c>
      <c r="D17" s="3">
        <v>11497297.77</v>
      </c>
      <c r="E17" s="3">
        <f t="shared" si="0"/>
        <v>0</v>
      </c>
      <c r="F17" s="3">
        <v>11497297.77</v>
      </c>
      <c r="G17" s="3">
        <f t="shared" si="1"/>
        <v>0</v>
      </c>
      <c r="H17" s="6">
        <v>12540281.050000001</v>
      </c>
      <c r="I17" s="3">
        <v>12540281.050000001</v>
      </c>
      <c r="J17" s="6">
        <f t="shared" si="2"/>
        <v>0</v>
      </c>
      <c r="K17" s="3">
        <v>2540281.0499999998</v>
      </c>
      <c r="L17" s="6">
        <f t="shared" si="3"/>
        <v>10000000</v>
      </c>
      <c r="M17" s="6">
        <f t="shared" si="4"/>
        <v>24037578.82</v>
      </c>
      <c r="N17" s="3">
        <f t="shared" si="4"/>
        <v>24037578.82</v>
      </c>
      <c r="O17" s="3">
        <f t="shared" si="5"/>
        <v>0</v>
      </c>
    </row>
    <row r="18" spans="1:15">
      <c r="A18" s="20">
        <v>15</v>
      </c>
      <c r="B18" s="21" t="s">
        <v>30</v>
      </c>
      <c r="C18" s="6">
        <v>4173636.45</v>
      </c>
      <c r="D18" s="3">
        <v>4173636.45</v>
      </c>
      <c r="E18" s="3">
        <f t="shared" si="0"/>
        <v>0</v>
      </c>
      <c r="F18" s="3">
        <v>4173636.45</v>
      </c>
      <c r="G18" s="3">
        <f t="shared" si="1"/>
        <v>0</v>
      </c>
      <c r="H18" s="6">
        <v>129559.5</v>
      </c>
      <c r="I18" s="3">
        <v>129559.5</v>
      </c>
      <c r="J18" s="6">
        <f t="shared" si="2"/>
        <v>0</v>
      </c>
      <c r="K18" s="3">
        <v>129559.5</v>
      </c>
      <c r="L18" s="6">
        <f t="shared" si="3"/>
        <v>0</v>
      </c>
      <c r="M18" s="6">
        <f t="shared" si="4"/>
        <v>4303195.95</v>
      </c>
      <c r="N18" s="3">
        <f t="shared" si="4"/>
        <v>4303195.95</v>
      </c>
      <c r="O18" s="3">
        <f t="shared" si="5"/>
        <v>0</v>
      </c>
    </row>
    <row r="19" spans="1:15">
      <c r="A19" s="20">
        <v>16</v>
      </c>
      <c r="B19" s="21" t="s">
        <v>31</v>
      </c>
      <c r="C19" s="6">
        <v>6006416.5</v>
      </c>
      <c r="D19" s="3">
        <v>6006416.5</v>
      </c>
      <c r="E19" s="3">
        <f t="shared" si="0"/>
        <v>0</v>
      </c>
      <c r="F19" s="3">
        <v>6006416.5</v>
      </c>
      <c r="G19" s="3">
        <f t="shared" si="1"/>
        <v>0</v>
      </c>
      <c r="H19" s="6">
        <v>414732</v>
      </c>
      <c r="I19" s="3">
        <v>333825.8</v>
      </c>
      <c r="J19" s="6">
        <f t="shared" si="2"/>
        <v>80906.200000000012</v>
      </c>
      <c r="K19" s="3">
        <v>333825.8</v>
      </c>
      <c r="L19" s="6">
        <f t="shared" si="3"/>
        <v>0</v>
      </c>
      <c r="M19" s="6">
        <f t="shared" si="4"/>
        <v>6421148.5</v>
      </c>
      <c r="N19" s="3">
        <f t="shared" si="4"/>
        <v>6340242.2999999998</v>
      </c>
      <c r="O19" s="3">
        <f t="shared" si="5"/>
        <v>80906.200000000186</v>
      </c>
    </row>
    <row r="20" spans="1:15">
      <c r="A20" s="20">
        <v>17</v>
      </c>
      <c r="B20" s="21" t="s">
        <v>32</v>
      </c>
      <c r="C20" s="6">
        <v>17894492.52</v>
      </c>
      <c r="D20" s="3">
        <v>17894492.52</v>
      </c>
      <c r="E20" s="3">
        <f t="shared" si="0"/>
        <v>0</v>
      </c>
      <c r="F20" s="3">
        <v>17894492.52</v>
      </c>
      <c r="G20" s="3">
        <f t="shared" si="1"/>
        <v>0</v>
      </c>
      <c r="H20" s="6">
        <v>220000</v>
      </c>
      <c r="I20" s="3">
        <v>220000</v>
      </c>
      <c r="J20" s="6">
        <f t="shared" si="2"/>
        <v>0</v>
      </c>
      <c r="K20" s="3">
        <v>220000</v>
      </c>
      <c r="L20" s="6">
        <f t="shared" si="3"/>
        <v>0</v>
      </c>
      <c r="M20" s="6">
        <f t="shared" si="4"/>
        <v>18114492.52</v>
      </c>
      <c r="N20" s="3">
        <f t="shared" si="4"/>
        <v>18114492.52</v>
      </c>
      <c r="O20" s="3">
        <f t="shared" si="5"/>
        <v>0</v>
      </c>
    </row>
    <row r="21" spans="1:15">
      <c r="A21" s="20">
        <v>18</v>
      </c>
      <c r="B21" s="22" t="s">
        <v>33</v>
      </c>
      <c r="C21" s="6">
        <v>12888324.33</v>
      </c>
      <c r="D21" s="3">
        <v>12888324.33</v>
      </c>
      <c r="E21" s="3">
        <f t="shared" si="0"/>
        <v>0</v>
      </c>
      <c r="F21" s="3">
        <v>12888324.33</v>
      </c>
      <c r="G21" s="3">
        <f t="shared" si="1"/>
        <v>0</v>
      </c>
      <c r="H21" s="6">
        <v>4362870</v>
      </c>
      <c r="I21" s="3">
        <f>1942771.8+2420098.2</f>
        <v>4362870</v>
      </c>
      <c r="J21" s="6">
        <f t="shared" si="2"/>
        <v>0</v>
      </c>
      <c r="K21" s="3">
        <v>4362870</v>
      </c>
      <c r="L21" s="6">
        <f t="shared" si="3"/>
        <v>0</v>
      </c>
      <c r="M21" s="6">
        <f t="shared" si="4"/>
        <v>17251194.329999998</v>
      </c>
      <c r="N21" s="3">
        <f t="shared" si="4"/>
        <v>17251194.329999998</v>
      </c>
      <c r="O21" s="3">
        <f t="shared" si="5"/>
        <v>0</v>
      </c>
    </row>
    <row r="22" spans="1:15">
      <c r="A22" s="7"/>
      <c r="B22" s="7" t="s">
        <v>34</v>
      </c>
      <c r="C22" s="7">
        <f>SUM(C4:C21)</f>
        <v>372503456.56999993</v>
      </c>
      <c r="D22" s="7">
        <f t="shared" ref="D22" si="6">SUM(D4:D21)</f>
        <v>372503456.56999993</v>
      </c>
      <c r="E22" s="7">
        <f t="shared" si="0"/>
        <v>0</v>
      </c>
      <c r="F22" s="7">
        <f t="shared" ref="F22" si="7">SUM(F4:F21)</f>
        <v>372503456.56999993</v>
      </c>
      <c r="G22" s="7">
        <f t="shared" si="1"/>
        <v>0</v>
      </c>
      <c r="H22" s="7">
        <f t="shared" ref="H22:O22" si="8">SUM(H4:H21)</f>
        <v>100468759.11</v>
      </c>
      <c r="I22" s="7">
        <f t="shared" si="8"/>
        <v>100345934.73</v>
      </c>
      <c r="J22" s="8">
        <f t="shared" si="2"/>
        <v>122824.37999999523</v>
      </c>
      <c r="K22" s="7">
        <f t="shared" ref="K22" si="9">SUM(K4:K21)</f>
        <v>86536391.61999999</v>
      </c>
      <c r="L22" s="8">
        <f t="shared" si="3"/>
        <v>13809543.110000014</v>
      </c>
      <c r="M22" s="7">
        <f t="shared" si="8"/>
        <v>472972215.67999995</v>
      </c>
      <c r="N22" s="7">
        <f t="shared" ref="N22" si="10">D22+I22</f>
        <v>472849391.29999995</v>
      </c>
      <c r="O22" s="7">
        <f t="shared" si="8"/>
        <v>122824.37999999616</v>
      </c>
    </row>
    <row r="23" spans="1:15">
      <c r="A23" s="7"/>
      <c r="B23" s="7" t="s">
        <v>35</v>
      </c>
      <c r="C23" s="7">
        <v>372503456.56999993</v>
      </c>
      <c r="D23" s="7">
        <v>372503456.56999999</v>
      </c>
      <c r="E23" s="7"/>
      <c r="F23" s="7">
        <v>372503456.56999999</v>
      </c>
      <c r="G23" s="7"/>
      <c r="H23" s="7">
        <v>100468759.11</v>
      </c>
      <c r="I23" s="7">
        <v>100345934.73</v>
      </c>
      <c r="J23" s="7"/>
      <c r="K23" s="7">
        <v>86536391.620000005</v>
      </c>
      <c r="L23" s="7"/>
      <c r="M23" s="7">
        <f>C23+H23</f>
        <v>472972215.67999995</v>
      </c>
      <c r="N23" s="7">
        <f>D23+I23</f>
        <v>472849391.30000001</v>
      </c>
      <c r="O23" s="7">
        <f>H23-I23</f>
        <v>122824.37999999523</v>
      </c>
    </row>
    <row r="24" spans="1:15">
      <c r="A24" s="7"/>
      <c r="B24" s="7" t="s">
        <v>36</v>
      </c>
      <c r="C24" s="7">
        <f>C22-C23</f>
        <v>0</v>
      </c>
      <c r="D24" s="7">
        <f>D22-D23</f>
        <v>0</v>
      </c>
      <c r="E24" s="7"/>
      <c r="F24" s="7">
        <f t="shared" ref="F24" si="11">F22-F23</f>
        <v>0</v>
      </c>
      <c r="G24" s="7"/>
      <c r="H24" s="7">
        <f t="shared" ref="H24:O24" si="12">H22-H23</f>
        <v>0</v>
      </c>
      <c r="I24" s="7">
        <f t="shared" si="12"/>
        <v>0</v>
      </c>
      <c r="J24" s="7"/>
      <c r="K24" s="7">
        <f t="shared" ref="K24" si="13">K22-K23</f>
        <v>0</v>
      </c>
      <c r="L24" s="7"/>
      <c r="M24" s="7">
        <f t="shared" si="12"/>
        <v>0</v>
      </c>
      <c r="N24" s="7"/>
      <c r="O24" s="7">
        <f t="shared" si="12"/>
        <v>9.3132257461547852E-10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E4" sqref="E4"/>
    </sheetView>
  </sheetViews>
  <sheetFormatPr defaultRowHeight="15"/>
  <cols>
    <col min="1" max="1" width="36.140625" customWidth="1"/>
    <col min="2" max="2" width="24.5703125" customWidth="1"/>
    <col min="3" max="4" width="20.7109375" customWidth="1"/>
    <col min="5" max="5" width="18.28515625" customWidth="1"/>
    <col min="6" max="6" width="18.42578125" customWidth="1"/>
  </cols>
  <sheetData>
    <row r="1" spans="1:14" ht="30" customHeight="1">
      <c r="A1" s="23" t="s">
        <v>59</v>
      </c>
      <c r="B1" s="24"/>
      <c r="C1" s="24"/>
      <c r="D1" s="24"/>
      <c r="E1" s="24"/>
      <c r="F1" s="24"/>
    </row>
    <row r="2" spans="1:14" ht="71.25">
      <c r="A2" s="15" t="s">
        <v>39</v>
      </c>
      <c r="B2" s="15" t="s">
        <v>45</v>
      </c>
      <c r="C2" s="15" t="s">
        <v>58</v>
      </c>
      <c r="D2" s="15" t="s">
        <v>40</v>
      </c>
      <c r="E2" s="15" t="s">
        <v>41</v>
      </c>
      <c r="F2" s="15" t="s">
        <v>42</v>
      </c>
      <c r="G2" s="10"/>
      <c r="H2" s="10"/>
      <c r="I2" s="10"/>
      <c r="J2" s="10"/>
      <c r="K2" s="10"/>
      <c r="L2" s="10"/>
      <c r="M2" s="10"/>
      <c r="N2" s="10"/>
    </row>
    <row r="3" spans="1:14">
      <c r="A3" s="25" t="s">
        <v>46</v>
      </c>
      <c r="B3" s="26"/>
      <c r="C3" s="26"/>
      <c r="D3" s="26"/>
      <c r="E3" s="26"/>
      <c r="F3" s="27"/>
      <c r="G3" s="10"/>
      <c r="H3" s="10"/>
      <c r="I3" s="10"/>
      <c r="J3" s="10"/>
      <c r="K3" s="10"/>
      <c r="L3" s="10"/>
      <c r="M3" s="10"/>
      <c r="N3" s="10"/>
    </row>
    <row r="4" spans="1:14">
      <c r="A4" s="16" t="s">
        <v>47</v>
      </c>
      <c r="B4" s="11">
        <f>22166770.42</f>
        <v>22166770.420000002</v>
      </c>
      <c r="C4" s="11">
        <v>22666770.420000002</v>
      </c>
      <c r="D4" s="11">
        <f>B4-C4</f>
        <v>-500000</v>
      </c>
      <c r="E4" s="11">
        <v>20868178.780000001</v>
      </c>
      <c r="F4" s="11">
        <f>B4-E4</f>
        <v>1298591.6400000006</v>
      </c>
      <c r="G4" s="10"/>
      <c r="H4" s="10"/>
      <c r="I4" s="10"/>
      <c r="J4" s="10"/>
      <c r="K4" s="10"/>
      <c r="L4" s="10"/>
      <c r="M4" s="10"/>
      <c r="N4" s="10"/>
    </row>
    <row r="5" spans="1:14">
      <c r="A5" s="16" t="s">
        <v>52</v>
      </c>
      <c r="B5" s="11">
        <v>14204</v>
      </c>
      <c r="C5" s="11">
        <v>14204</v>
      </c>
      <c r="D5" s="11">
        <f t="shared" ref="D5:D11" si="0">B5-C5</f>
        <v>0</v>
      </c>
      <c r="E5" s="11">
        <v>13372</v>
      </c>
      <c r="F5" s="11">
        <f t="shared" ref="F5:F11" si="1">B5-E5</f>
        <v>832</v>
      </c>
      <c r="G5" s="10"/>
      <c r="H5" s="10"/>
      <c r="I5" s="10"/>
      <c r="J5" s="10"/>
      <c r="K5" s="10"/>
      <c r="L5" s="10"/>
      <c r="M5" s="10"/>
      <c r="N5" s="10"/>
    </row>
    <row r="6" spans="1:14">
      <c r="A6" s="16" t="s">
        <v>48</v>
      </c>
      <c r="B6" s="11">
        <v>6690280.7000000002</v>
      </c>
      <c r="C6" s="11">
        <v>6841280.7000000002</v>
      </c>
      <c r="D6" s="11">
        <f t="shared" si="0"/>
        <v>-151000</v>
      </c>
      <c r="E6" s="11">
        <v>6301002.0199999996</v>
      </c>
      <c r="F6" s="11">
        <f t="shared" si="1"/>
        <v>389278.68000000063</v>
      </c>
      <c r="G6" s="10"/>
      <c r="H6" s="10"/>
      <c r="I6" s="10"/>
      <c r="J6" s="10"/>
      <c r="K6" s="10"/>
      <c r="L6" s="10"/>
      <c r="M6" s="10"/>
      <c r="N6" s="10"/>
    </row>
    <row r="7" spans="1:14" ht="30">
      <c r="A7" s="16" t="s">
        <v>56</v>
      </c>
      <c r="B7" s="11">
        <v>494200</v>
      </c>
      <c r="C7" s="11">
        <v>494200</v>
      </c>
      <c r="D7" s="11">
        <f t="shared" si="0"/>
        <v>0</v>
      </c>
      <c r="E7" s="11">
        <v>477153.39</v>
      </c>
      <c r="F7" s="11">
        <f t="shared" si="1"/>
        <v>17046.609999999986</v>
      </c>
      <c r="G7" s="10"/>
      <c r="H7" s="10"/>
      <c r="I7" s="10"/>
      <c r="J7" s="10"/>
      <c r="K7" s="10"/>
      <c r="L7" s="10"/>
      <c r="M7" s="10"/>
      <c r="N7" s="10"/>
    </row>
    <row r="8" spans="1:14" ht="18" customHeight="1">
      <c r="A8" s="16" t="s">
        <v>55</v>
      </c>
      <c r="B8" s="11">
        <f>139904+91735.46+100000+111597+96+901055+1211154.87+466197.39+15000+242408+97805+144844+879605.93</f>
        <v>4401402.6500000004</v>
      </c>
      <c r="C8" s="11">
        <v>4401402.6500000004</v>
      </c>
      <c r="D8" s="11">
        <f t="shared" si="0"/>
        <v>0</v>
      </c>
      <c r="E8" s="11">
        <v>3893712.18</v>
      </c>
      <c r="F8" s="11">
        <f t="shared" si="1"/>
        <v>507690.4700000002</v>
      </c>
      <c r="G8" s="10"/>
      <c r="H8" s="10"/>
      <c r="I8" s="10"/>
      <c r="J8" s="10"/>
      <c r="K8" s="10"/>
      <c r="L8" s="10"/>
      <c r="M8" s="10"/>
      <c r="N8" s="10"/>
    </row>
    <row r="9" spans="1:14">
      <c r="A9" s="16" t="s">
        <v>49</v>
      </c>
      <c r="B9" s="11">
        <v>3463193.39</v>
      </c>
      <c r="C9" s="11">
        <v>3463193.39</v>
      </c>
      <c r="D9" s="11">
        <f t="shared" si="0"/>
        <v>0</v>
      </c>
      <c r="E9" s="11">
        <v>3208935.58</v>
      </c>
      <c r="F9" s="11">
        <f t="shared" si="1"/>
        <v>254257.81000000006</v>
      </c>
      <c r="G9" s="10"/>
      <c r="H9" s="10"/>
      <c r="I9" s="10"/>
      <c r="J9" s="10"/>
      <c r="K9" s="10"/>
      <c r="L9" s="10"/>
      <c r="M9" s="10"/>
      <c r="N9" s="10"/>
    </row>
    <row r="10" spans="1:14" ht="30">
      <c r="A10" s="16" t="s">
        <v>57</v>
      </c>
      <c r="B10" s="11">
        <v>204834</v>
      </c>
      <c r="C10" s="11">
        <v>204834</v>
      </c>
      <c r="D10" s="11">
        <f t="shared" si="0"/>
        <v>0</v>
      </c>
      <c r="E10" s="11">
        <v>204834</v>
      </c>
      <c r="F10" s="11">
        <f t="shared" si="1"/>
        <v>0</v>
      </c>
      <c r="G10" s="10"/>
      <c r="H10" s="10"/>
      <c r="I10" s="10"/>
      <c r="J10" s="10"/>
      <c r="K10" s="10"/>
      <c r="L10" s="10"/>
      <c r="M10" s="10"/>
      <c r="N10" s="10"/>
    </row>
    <row r="11" spans="1:14">
      <c r="A11" s="16" t="s">
        <v>50</v>
      </c>
      <c r="B11" s="11">
        <v>33502.199999999997</v>
      </c>
      <c r="C11" s="11">
        <v>33502.199999999997</v>
      </c>
      <c r="D11" s="11">
        <f t="shared" si="0"/>
        <v>0</v>
      </c>
      <c r="E11" s="11">
        <v>32137.48</v>
      </c>
      <c r="F11" s="11">
        <f t="shared" si="1"/>
        <v>1364.7199999999975</v>
      </c>
      <c r="G11" s="10"/>
      <c r="H11" s="10"/>
      <c r="I11" s="10"/>
      <c r="J11" s="10"/>
      <c r="K11" s="10"/>
      <c r="L11" s="10"/>
      <c r="M11" s="10"/>
      <c r="N11" s="10"/>
    </row>
    <row r="12" spans="1:14" s="14" customFormat="1">
      <c r="A12" s="17" t="s">
        <v>37</v>
      </c>
      <c r="B12" s="18">
        <f>SUM(B4:B11)</f>
        <v>37468387.360000007</v>
      </c>
      <c r="C12" s="18">
        <f t="shared" ref="C12:F12" si="2">SUM(C4:C11)</f>
        <v>38119387.360000007</v>
      </c>
      <c r="D12" s="18">
        <f t="shared" si="2"/>
        <v>-651000</v>
      </c>
      <c r="E12" s="18">
        <f t="shared" si="2"/>
        <v>34999325.43</v>
      </c>
      <c r="F12" s="18">
        <f t="shared" si="2"/>
        <v>2469061.9300000016</v>
      </c>
      <c r="G12" s="13"/>
      <c r="H12" s="13"/>
      <c r="I12" s="13"/>
      <c r="J12" s="13"/>
      <c r="K12" s="13"/>
      <c r="L12" s="13"/>
      <c r="M12" s="13"/>
      <c r="N12" s="13"/>
    </row>
    <row r="13" spans="1:14">
      <c r="A13" s="25" t="s">
        <v>51</v>
      </c>
      <c r="B13" s="26"/>
      <c r="C13" s="26"/>
      <c r="D13" s="26"/>
      <c r="E13" s="26"/>
      <c r="F13" s="27"/>
      <c r="G13" s="10"/>
      <c r="H13" s="10"/>
      <c r="I13" s="10"/>
      <c r="J13" s="10"/>
      <c r="K13" s="10"/>
      <c r="L13" s="10"/>
      <c r="M13" s="10"/>
      <c r="N13" s="10"/>
    </row>
    <row r="14" spans="1:14" ht="24" customHeight="1">
      <c r="A14" s="16" t="s">
        <v>53</v>
      </c>
      <c r="B14" s="11">
        <f>6006120.43</f>
        <v>6006120.4299999997</v>
      </c>
      <c r="C14" s="11">
        <v>6006120.4299999997</v>
      </c>
      <c r="D14" s="11">
        <f t="shared" ref="D14:D18" si="3">B14-C14</f>
        <v>0</v>
      </c>
      <c r="E14" s="11">
        <v>3914014.06</v>
      </c>
      <c r="F14" s="11">
        <f t="shared" ref="F14" si="4">B14-E14</f>
        <v>2092106.3699999996</v>
      </c>
      <c r="G14" s="10"/>
      <c r="H14" s="10"/>
      <c r="I14" s="10"/>
      <c r="J14" s="10"/>
      <c r="K14" s="10"/>
      <c r="L14" s="10"/>
      <c r="M14" s="10"/>
      <c r="N14" s="10"/>
    </row>
    <row r="15" spans="1:14" s="14" customFormat="1">
      <c r="A15" s="17" t="s">
        <v>37</v>
      </c>
      <c r="B15" s="18">
        <f>SUM(B14:B14)</f>
        <v>6006120.4299999997</v>
      </c>
      <c r="C15" s="18">
        <f>SUM(C14:C14)</f>
        <v>6006120.4299999997</v>
      </c>
      <c r="D15" s="18">
        <f t="shared" si="3"/>
        <v>0</v>
      </c>
      <c r="E15" s="18">
        <f>SUM(E14:E14)</f>
        <v>3914014.06</v>
      </c>
      <c r="F15" s="18">
        <f>SUM(F14:F14)</f>
        <v>2092106.3699999996</v>
      </c>
      <c r="G15" s="13"/>
      <c r="H15" s="13"/>
      <c r="I15" s="13"/>
      <c r="J15" s="13"/>
      <c r="K15" s="13"/>
      <c r="L15" s="13"/>
      <c r="M15" s="13"/>
      <c r="N15" s="13"/>
    </row>
    <row r="16" spans="1:14">
      <c r="A16" s="25" t="s">
        <v>54</v>
      </c>
      <c r="B16" s="26"/>
      <c r="C16" s="26"/>
      <c r="D16" s="26"/>
      <c r="E16" s="26"/>
      <c r="F16" s="27"/>
      <c r="G16" s="10"/>
      <c r="H16" s="10"/>
      <c r="I16" s="10"/>
      <c r="J16" s="10"/>
      <c r="K16" s="10"/>
      <c r="L16" s="10"/>
      <c r="M16" s="10"/>
      <c r="N16" s="10"/>
    </row>
    <row r="17" spans="1:14">
      <c r="A17" s="16" t="s">
        <v>52</v>
      </c>
      <c r="B17" s="11">
        <v>64000</v>
      </c>
      <c r="C17" s="11">
        <v>64000</v>
      </c>
      <c r="D17" s="11">
        <f t="shared" si="3"/>
        <v>0</v>
      </c>
      <c r="E17" s="11">
        <v>49868.41</v>
      </c>
      <c r="F17" s="11">
        <f t="shared" ref="F17:F18" si="5">B17-E17</f>
        <v>14131.589999999997</v>
      </c>
      <c r="G17" s="10"/>
      <c r="H17" s="10"/>
      <c r="I17" s="10"/>
      <c r="J17" s="10"/>
      <c r="K17" s="10"/>
      <c r="L17" s="10"/>
      <c r="M17" s="10"/>
      <c r="N17" s="10"/>
    </row>
    <row r="18" spans="1:14" ht="20.25" customHeight="1">
      <c r="A18" s="16" t="s">
        <v>53</v>
      </c>
      <c r="B18" s="11">
        <f>1187685</f>
        <v>1187685</v>
      </c>
      <c r="C18" s="11">
        <v>975010.72</v>
      </c>
      <c r="D18" s="11">
        <f t="shared" si="3"/>
        <v>212674.28000000003</v>
      </c>
      <c r="E18" s="11">
        <v>974645.69</v>
      </c>
      <c r="F18" s="11">
        <f t="shared" si="5"/>
        <v>213039.31000000006</v>
      </c>
      <c r="G18" s="10"/>
      <c r="H18" s="10"/>
      <c r="I18" s="10"/>
      <c r="J18" s="10"/>
      <c r="K18" s="10"/>
      <c r="L18" s="10"/>
      <c r="M18" s="10"/>
      <c r="N18" s="10"/>
    </row>
    <row r="19" spans="1:14" s="14" customFormat="1">
      <c r="A19" s="17" t="s">
        <v>43</v>
      </c>
      <c r="B19" s="18">
        <f>SUM(B17:B18)</f>
        <v>1251685</v>
      </c>
      <c r="C19" s="18">
        <f>SUM(C17:C18)</f>
        <v>1039010.72</v>
      </c>
      <c r="D19" s="18">
        <f>SUM(D17:D18)</f>
        <v>212674.28000000003</v>
      </c>
      <c r="E19" s="18">
        <f>SUM(E17:E18)</f>
        <v>1024514.1</v>
      </c>
      <c r="F19" s="18">
        <f>SUM(F17:F18)</f>
        <v>227170.90000000005</v>
      </c>
      <c r="G19" s="13"/>
      <c r="H19" s="13"/>
      <c r="I19" s="13"/>
      <c r="J19" s="13"/>
      <c r="K19" s="13"/>
      <c r="L19" s="13"/>
      <c r="M19" s="13"/>
      <c r="N19" s="13"/>
    </row>
    <row r="20" spans="1:14" s="14" customFormat="1">
      <c r="A20" s="19" t="s">
        <v>44</v>
      </c>
      <c r="B20" s="18">
        <f>B12+B15+B19</f>
        <v>44726192.790000007</v>
      </c>
      <c r="C20" s="18">
        <f>C12+C15+C19</f>
        <v>45164518.510000005</v>
      </c>
      <c r="D20" s="18">
        <f>D12+D15+D19</f>
        <v>-438325.72</v>
      </c>
      <c r="E20" s="18">
        <f>E12+E15+E19</f>
        <v>39937853.590000004</v>
      </c>
      <c r="F20" s="18">
        <f>F12+F15+F19</f>
        <v>4788339.2000000011</v>
      </c>
      <c r="G20" s="13"/>
      <c r="H20" s="13"/>
      <c r="I20" s="13"/>
      <c r="J20" s="13"/>
      <c r="K20" s="13"/>
      <c r="L20" s="13"/>
      <c r="M20" s="13"/>
      <c r="N20" s="13"/>
    </row>
    <row r="21" spans="1:1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A22" s="10"/>
      <c r="B22" s="1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A25" s="10"/>
      <c r="B25" s="1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</sheetData>
  <mergeCells count="4">
    <mergeCell ref="A1:F1"/>
    <mergeCell ref="A3:F3"/>
    <mergeCell ref="A13:F13"/>
    <mergeCell ref="A16:F1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соглашения</vt:lpstr>
      <vt:lpstr>пфхд расх 16 дс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КСП3</dc:creator>
  <cp:lastModifiedBy>User</cp:lastModifiedBy>
  <cp:lastPrinted>2023-05-03T06:08:41Z</cp:lastPrinted>
  <dcterms:created xsi:type="dcterms:W3CDTF">2023-03-30T11:07:34Z</dcterms:created>
  <dcterms:modified xsi:type="dcterms:W3CDTF">2023-05-03T06:09:08Z</dcterms:modified>
</cp:coreProperties>
</file>